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83930856e9e556/Documents/Sutton Capital/"/>
    </mc:Choice>
  </mc:AlternateContent>
  <xr:revisionPtr revIDLastSave="130" documentId="8_{9C62C045-D3E2-4824-974E-93EC1AC87133}" xr6:coauthVersionLast="47" xr6:coauthVersionMax="47" xr10:uidLastSave="{CE3B950A-04AE-4E87-9792-F6047EC74708}"/>
  <bookViews>
    <workbookView xWindow="-28920" yWindow="-120" windowWidth="29040" windowHeight="15720" xr2:uid="{7FD2AE6C-1631-4CD2-AEA1-3D2FE6CDB07A}"/>
  </bookViews>
  <sheets>
    <sheet name="Cash Flow" sheetId="1" r:id="rId1"/>
    <sheet name="Foreccast" sheetId="2" r:id="rId2"/>
  </sheets>
  <definedNames>
    <definedName name="_30_Days">'Cash Flow'!$P$5</definedName>
    <definedName name="_60_Days">'Cash Flow'!$P$6</definedName>
    <definedName name="_90_Days">'Cash Flow'!$P$7</definedName>
    <definedName name="_Credit_Increase_Pct">Foreccast!$S$5</definedName>
    <definedName name="_Sale_Increase_Pct">Foreccast!$S$4</definedName>
    <definedName name="Discount_Rate">'Cash Flow'!$P$3</definedName>
    <definedName name="Net_Cash_Remaining">'Cash Flow'!$J$29</definedName>
    <definedName name="Net_Income">Foreccast!$K$26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J8" i="1" s="1"/>
  <c r="H7" i="2"/>
  <c r="J9" i="1" s="1"/>
  <c r="G7" i="2"/>
  <c r="F7" i="2"/>
  <c r="E7" i="2"/>
  <c r="D7" i="2"/>
  <c r="J6" i="2"/>
  <c r="I6" i="2"/>
  <c r="H6" i="2"/>
  <c r="G6" i="2"/>
  <c r="G8" i="2" s="1"/>
  <c r="G10" i="2" s="1"/>
  <c r="G12" i="2" s="1"/>
  <c r="F6" i="2"/>
  <c r="F8" i="2" s="1"/>
  <c r="E6" i="2"/>
  <c r="E17" i="2" s="1"/>
  <c r="D6" i="2"/>
  <c r="D17" i="2" s="1"/>
  <c r="J17" i="2"/>
  <c r="J24" i="2" s="1"/>
  <c r="H17" i="2"/>
  <c r="H24" i="2" s="1"/>
  <c r="C17" i="2"/>
  <c r="C24" i="2" s="1"/>
  <c r="K23" i="2"/>
  <c r="K22" i="2"/>
  <c r="K21" i="2"/>
  <c r="K20" i="2"/>
  <c r="K19" i="2"/>
  <c r="K16" i="2"/>
  <c r="E18" i="2"/>
  <c r="F18" i="2"/>
  <c r="D18" i="2"/>
  <c r="K18" i="2" s="1"/>
  <c r="J20" i="1"/>
  <c r="I20" i="1"/>
  <c r="I27" i="1" s="1"/>
  <c r="H20" i="1"/>
  <c r="G20" i="1"/>
  <c r="F20" i="1"/>
  <c r="F27" i="1" s="1"/>
  <c r="E20" i="1"/>
  <c r="E27" i="1" s="1"/>
  <c r="D20" i="1"/>
  <c r="C20" i="1"/>
  <c r="C27" i="1" s="1"/>
  <c r="J25" i="1"/>
  <c r="I25" i="1"/>
  <c r="H25" i="1"/>
  <c r="G25" i="1"/>
  <c r="F25" i="1"/>
  <c r="E25" i="1"/>
  <c r="J24" i="1"/>
  <c r="I24" i="1"/>
  <c r="H24" i="1"/>
  <c r="G24" i="1"/>
  <c r="F24" i="1"/>
  <c r="E24" i="1"/>
  <c r="J21" i="1"/>
  <c r="I21" i="1"/>
  <c r="H21" i="1"/>
  <c r="G21" i="1"/>
  <c r="F21" i="1"/>
  <c r="E21" i="1"/>
  <c r="J18" i="1"/>
  <c r="I18" i="1"/>
  <c r="H18" i="1"/>
  <c r="G18" i="1"/>
  <c r="F18" i="1"/>
  <c r="E18" i="1"/>
  <c r="D25" i="1"/>
  <c r="D24" i="1"/>
  <c r="D21" i="1"/>
  <c r="D18" i="1"/>
  <c r="D27" i="1" s="1"/>
  <c r="I19" i="2"/>
  <c r="G19" i="2"/>
  <c r="E19" i="2"/>
  <c r="D19" i="2"/>
  <c r="M11" i="1"/>
  <c r="J7" i="1"/>
  <c r="J11" i="1" s="1"/>
  <c r="H7" i="1"/>
  <c r="H11" i="1" s="1"/>
  <c r="J10" i="1"/>
  <c r="I10" i="1"/>
  <c r="H10" i="1"/>
  <c r="G10" i="1"/>
  <c r="I9" i="1"/>
  <c r="H9" i="1"/>
  <c r="G9" i="1"/>
  <c r="F9" i="1"/>
  <c r="H8" i="1"/>
  <c r="G8" i="1"/>
  <c r="F8" i="1"/>
  <c r="E8" i="1"/>
  <c r="J8" i="2"/>
  <c r="J10" i="2" s="1"/>
  <c r="J12" i="2" s="1"/>
  <c r="D8" i="2"/>
  <c r="C8" i="2"/>
  <c r="C7" i="1"/>
  <c r="C11" i="1" s="1"/>
  <c r="C12" i="1" s="1"/>
  <c r="C14" i="1" s="1"/>
  <c r="F10" i="1"/>
  <c r="E9" i="1"/>
  <c r="D8" i="1"/>
  <c r="I8" i="2" l="1"/>
  <c r="I10" i="2" s="1"/>
  <c r="I12" i="2" s="1"/>
  <c r="H8" i="2"/>
  <c r="H10" i="2" s="1"/>
  <c r="H12" i="2" s="1"/>
  <c r="I8" i="1"/>
  <c r="K7" i="2"/>
  <c r="D7" i="1"/>
  <c r="D11" i="1" s="1"/>
  <c r="I7" i="1"/>
  <c r="I11" i="1" s="1"/>
  <c r="I17" i="2"/>
  <c r="I24" i="2" s="1"/>
  <c r="G7" i="1"/>
  <c r="G11" i="1" s="1"/>
  <c r="G17" i="2"/>
  <c r="G24" i="2" s="1"/>
  <c r="F7" i="1"/>
  <c r="F11" i="1" s="1"/>
  <c r="F17" i="2"/>
  <c r="F24" i="2" s="1"/>
  <c r="E7" i="1"/>
  <c r="E11" i="1" s="1"/>
  <c r="E8" i="2"/>
  <c r="K8" i="2" s="1"/>
  <c r="K6" i="2"/>
  <c r="E24" i="2"/>
  <c r="D24" i="2"/>
  <c r="H27" i="1"/>
  <c r="L11" i="1"/>
  <c r="J27" i="1"/>
  <c r="C29" i="1"/>
  <c r="D4" i="1" s="1"/>
  <c r="G27" i="1"/>
  <c r="I12" i="1"/>
  <c r="J12" i="1"/>
  <c r="E12" i="1"/>
  <c r="G12" i="1"/>
  <c r="H12" i="1"/>
  <c r="G26" i="2"/>
  <c r="H26" i="2"/>
  <c r="I26" i="2"/>
  <c r="J26" i="2"/>
  <c r="C10" i="2"/>
  <c r="D10" i="2"/>
  <c r="D12" i="2" s="1"/>
  <c r="D26" i="2" s="1"/>
  <c r="D12" i="1"/>
  <c r="F10" i="2"/>
  <c r="F12" i="2" s="1"/>
  <c r="D14" i="1" l="1"/>
  <c r="D29" i="1" s="1"/>
  <c r="E4" i="1" s="1"/>
  <c r="E10" i="2"/>
  <c r="E12" i="2" s="1"/>
  <c r="E26" i="2" s="1"/>
  <c r="F12" i="1"/>
  <c r="F26" i="2"/>
  <c r="K24" i="2"/>
  <c r="K17" i="2"/>
  <c r="C12" i="2"/>
  <c r="K10" i="2"/>
  <c r="E14" i="1"/>
  <c r="E29" i="1" s="1"/>
  <c r="F4" i="1" s="1"/>
  <c r="F14" i="1" s="1"/>
  <c r="F29" i="1" s="1"/>
  <c r="G4" i="1" s="1"/>
  <c r="G14" i="1" s="1"/>
  <c r="G29" i="1" s="1"/>
  <c r="H4" i="1" s="1"/>
  <c r="H14" i="1" s="1"/>
  <c r="H29" i="1" s="1"/>
  <c r="I4" i="1" s="1"/>
  <c r="I14" i="1" s="1"/>
  <c r="I29" i="1" s="1"/>
  <c r="J4" i="1" s="1"/>
  <c r="J14" i="1" s="1"/>
  <c r="J29" i="1" s="1"/>
  <c r="C26" i="2" l="1"/>
  <c r="K12" i="2"/>
  <c r="K26" i="2" l="1"/>
  <c r="J31" i="1"/>
</calcChain>
</file>

<file path=xl/sharedStrings.xml><?xml version="1.0" encoding="utf-8"?>
<sst xmlns="http://schemas.openxmlformats.org/spreadsheetml/2006/main" count="98" uniqueCount="63">
  <si>
    <t>Cash In</t>
  </si>
  <si>
    <t>Beginning Cash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</si>
  <si>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</si>
  <si>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</si>
  <si>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</si>
  <si>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</si>
  <si>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</si>
  <si>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</si>
  <si>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</si>
  <si>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</si>
  <si>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Revenue "Net 0"</t>
  </si>
  <si>
    <t>Revenue "60 Days"</t>
  </si>
  <si>
    <t>Revenue "90 Days"</t>
  </si>
  <si>
    <t>Revenue "Net 30"</t>
  </si>
  <si>
    <t>Cash Discounts (CC)</t>
  </si>
  <si>
    <t>Revenues</t>
  </si>
  <si>
    <t>Credit Card</t>
  </si>
  <si>
    <t>Credit</t>
  </si>
  <si>
    <t>Total Sales</t>
  </si>
  <si>
    <t>Net Cash In</t>
  </si>
  <si>
    <t>Discount Rate</t>
  </si>
  <si>
    <t>% collect in terms</t>
  </si>
  <si>
    <t>30 Days</t>
  </si>
  <si>
    <t>60 Days</t>
  </si>
  <si>
    <t>90 Days</t>
  </si>
  <si>
    <t>Check</t>
  </si>
  <si>
    <t>Pd 4</t>
  </si>
  <si>
    <t>Total Cash</t>
  </si>
  <si>
    <t>Cash Out</t>
  </si>
  <si>
    <t>Cost of Goods Sold</t>
  </si>
  <si>
    <t>Gross Profit</t>
  </si>
  <si>
    <t>Expenses</t>
  </si>
  <si>
    <t>Sales Exp</t>
  </si>
  <si>
    <t>Credit Card Exp</t>
  </si>
  <si>
    <t>Salary</t>
  </si>
  <si>
    <t>Shipping</t>
  </si>
  <si>
    <t>Taxes</t>
  </si>
  <si>
    <t>Total Expenses</t>
  </si>
  <si>
    <t>Net Income</t>
  </si>
  <si>
    <t>Rent</t>
  </si>
  <si>
    <t>Insurance</t>
  </si>
  <si>
    <t>Depreciation</t>
  </si>
  <si>
    <t>Purchasing</t>
  </si>
  <si>
    <t>Total Cash Out</t>
  </si>
  <si>
    <t>Net Cash Remaining</t>
  </si>
  <si>
    <t>Total</t>
  </si>
  <si>
    <t>Payment Terms</t>
  </si>
  <si>
    <t>30 days</t>
  </si>
  <si>
    <t>Accounted for in Cash In</t>
  </si>
  <si>
    <t>Non-Cash</t>
  </si>
  <si>
    <t>Actual</t>
  </si>
  <si>
    <t>Forecast</t>
  </si>
  <si>
    <t>Cash is not Profits</t>
  </si>
  <si>
    <t>Forecasted Net Income Pd 8  -&gt;</t>
  </si>
  <si>
    <t>Notes</t>
  </si>
  <si>
    <t>Calculated</t>
  </si>
  <si>
    <t>More accurate with</t>
  </si>
  <si>
    <t>Assumptions</t>
  </si>
  <si>
    <t>Live feeds from ERP System</t>
  </si>
  <si>
    <t>Current Month</t>
  </si>
  <si>
    <t>Assumption</t>
  </si>
  <si>
    <t>CC Base Forecast plus % Increase</t>
  </si>
  <si>
    <t>Credit Base Forecast plus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</si>
</sst>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164" fontId="0" fillId="2" borderId="0" xfId="1" applyNumberFormat="1" applyFont="1" applyFill="1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64" fontId="4" fillId="4" borderId="0" xfId="1" applyNumberFormat="1" applyFont="1" applyFill="1"/>
    <xf numFmtId="164" fontId="4" fillId="4" borderId="1" xfId="1" applyNumberFormat="1" applyFont="1" applyFill="1" applyBorder="1"/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4" fontId="7" fillId="4" borderId="0" xfId="1" applyNumberFormat="1" applyFont="1" applyFill="1"/>
    <xf numFmtId="164" fontId="2" fillId="0" borderId="2" xfId="1" applyNumberFormat="1" applyFont="1" applyBorder="1"/>
    <xf numFmtId="164" fontId="7" fillId="4" borderId="2" xfId="1" applyNumberFormat="1" applyFont="1" applyFill="1" applyBorder="1"/>
    <xf numFmtId="164" fontId="1" fillId="0" borderId="0" xfId="1" applyNumberFormat="1" applyFont="1"/>
    <xf numFmtId="164" fontId="4" fillId="4" borderId="0" xfId="0" applyNumberFormat="1" applyFont="1" applyFill="1"/>
    <xf numFmtId="164" fontId="0" fillId="0" borderId="1" xfId="0" applyNumberFormat="1" applyBorder="1"/>
    <xf numFmtId="164" fontId="4" fillId="4" borderId="1" xfId="0" applyNumberFormat="1" applyFont="1" applyFill="1" applyBorder="1"/>
    <xf numFmtId="164" fontId="2" fillId="0" borderId="0" xfId="0" applyNumberFormat="1" applyFont="1"/>
    <xf numFmtId="164" fontId="7" fillId="4" borderId="0" xfId="0" applyNumberFormat="1" applyFont="1" applyFill="1"/>
    <xf numFmtId="0" fontId="4" fillId="0" borderId="0" xfId="0" applyFont="1"/>
    <xf numFmtId="164" fontId="4" fillId="0" borderId="0" xfId="1" applyNumberFormat="1" applyFont="1"/>
    <xf numFmtId="38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5" fillId="0" borderId="1" xfId="1" applyNumberFormat="1" applyFont="1" applyBorder="1"/>
    <xf numFmtId="164" fontId="5" fillId="0" borderId="0" xfId="0" applyNumberFormat="1" applyFont="1"/>
    <xf numFmtId="164" fontId="5" fillId="0" borderId="1" xfId="0" applyNumberFormat="1" applyFont="1" applyBorder="1"/>
    <xf numFmtId="164" fontId="6" fillId="0" borderId="0" xfId="0" applyNumberFormat="1" applyFont="1"/>
    <xf numFmtId="164" fontId="6" fillId="0" borderId="0" xfId="1" applyNumberFormat="1" applyFont="1"/>
    <xf numFmtId="164" fontId="6" fillId="0" borderId="2" xfId="1" applyNumberFormat="1" applyFont="1" applyBorder="1"/>
    <xf numFmtId="38" fontId="5" fillId="0" borderId="0" xfId="1" applyNumberFormat="1" applyFont="1"/>
    <xf numFmtId="0" fontId="0" fillId="6" borderId="0" xfId="0" applyFill="1"/>
    <xf numFmtId="164" fontId="5" fillId="6" borderId="0" xfId="1" applyNumberFormat="1" applyFont="1" applyFill="1"/>
    <xf numFmtId="164" fontId="0" fillId="6" borderId="0" xfId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309564</xdr:colOff>
      <xdr:row>29</xdr:row>
      <xdr:rowOff>185737</xdr:rowOff>
    </xdr:from>
    <xdr:to>
      <xdr:col>5</xdr:col>
      <xdr:colOff>862014</xdr:colOff>
      <xdr:row>32</xdr:row>
      <xdr:rowOff>61912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F41C64EE-EF18-1FE9-A6BB-0DCC6FF51215}"/>
            </a:ext>
          </a:extLst>
        </xdr:cNvPr>
        <xdr:cNvSpPr/>
      </xdr:nvSpPr>
      <xdr:spPr>
        <a:xfrm rot="16200000">
          <a:off x="4267201" y="5467350"/>
          <a:ext cx="4476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881063</xdr:colOff>
      <xdr:row>3</xdr:row>
      <xdr:rowOff>52388</xdr:rowOff>
    </xdr:from>
    <xdr:to>
      <xdr:col>7</xdr:col>
      <xdr:colOff>414338</xdr:colOff>
      <xdr:row>6</xdr:row>
      <xdr:rowOff>33338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75290F8-A0C6-454C-96F2-4A0CCD36404A}"/>
            </a:ext>
          </a:extLst>
        </xdr:cNvPr>
        <xdr:cNvSpPr/>
      </xdr:nvSpPr>
      <xdr:spPr>
        <a:xfrm rot="11683071">
          <a:off x="5700713" y="433388"/>
          <a:ext cx="4476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28</xdr:row>
      <xdr:rowOff>76200</xdr:rowOff>
    </xdr:from>
    <xdr:to>
      <xdr:col>10</xdr:col>
      <xdr:colOff>495300</xdr:colOff>
      <xdr:row>30</xdr:row>
      <xdr:rowOff>142875</xdr:rowOff>
    </xdr:to>
    <xdr:sp macro="" textlink="">
      <xdr:nvSpPr>
        <xdr:cNvPr id="4" name="Arrow: Curved Left 3">
          <a:extLst>
            <a:ext uri="{FF2B5EF4-FFF2-40B4-BE49-F238E27FC236}">
              <a16:creationId xmlns:a16="http://schemas.microsoft.com/office/drawing/2014/main" id="{D3A19E36-989C-7DB6-4865-93F9D5EAD57B}"/>
            </a:ext>
          </a:extLst>
        </xdr:cNvPr>
        <xdr:cNvSpPr/>
      </xdr:nvSpPr>
      <xdr:spPr>
        <a:xfrm>
          <a:off x="9210675" y="5410200"/>
          <a:ext cx="371475" cy="4476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285751</xdr:colOff>
      <xdr:row>29</xdr:row>
      <xdr:rowOff>180975</xdr:rowOff>
    </xdr:from>
    <xdr:to>
      <xdr:col>3</xdr:col>
      <xdr:colOff>1</xdr:colOff>
      <xdr:row>32</xdr:row>
      <xdr:rowOff>57150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7184CB8B-EB78-41B5-851D-A4F3473BE027}"/>
            </a:ext>
          </a:extLst>
        </xdr:cNvPr>
        <xdr:cNvSpPr/>
      </xdr:nvSpPr>
      <xdr:spPr>
        <a:xfrm rot="16200000">
          <a:off x="2185988" y="5653088"/>
          <a:ext cx="4476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762000</xdr:colOff>
      <xdr:row>3</xdr:row>
      <xdr:rowOff>114301</xdr:rowOff>
    </xdr:from>
    <xdr:to>
      <xdr:col>3</xdr:col>
      <xdr:colOff>371475</xdr:colOff>
      <xdr:row>6</xdr:row>
      <xdr:rowOff>95251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F7086F9F-068A-4556-9616-0526E22D2A69}"/>
            </a:ext>
          </a:extLst>
        </xdr:cNvPr>
        <xdr:cNvSpPr/>
      </xdr:nvSpPr>
      <xdr:spPr>
        <a:xfrm rot="19328003">
          <a:off x="2609850" y="685801"/>
          <a:ext cx="4476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47626</xdr:colOff>
      <xdr:row>6</xdr:row>
      <xdr:rowOff>9526</xdr:rowOff>
    </xdr:from>
    <xdr:to>
      <xdr:col>10</xdr:col>
      <xdr:colOff>495301</xdr:colOff>
      <xdr:row>8</xdr:row>
      <xdr:rowOff>180976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31D27674-E2E1-4548-8B85-1D8F7B4097E8}"/>
            </a:ext>
          </a:extLst>
        </xdr:cNvPr>
        <xdr:cNvSpPr/>
      </xdr:nvSpPr>
      <xdr:spPr>
        <a:xfrm rot="9716375">
          <a:off x="9134476" y="1152526"/>
          <a:ext cx="447675" cy="552450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66D-7E6F-426A-832B-C0AEA7940CF7}">
  <dimension ref="B2:P31"/>
  <sheetViews>
    <sheetView tabSelected="1" workbookViewId="0">
      <selection activeCell="P7" sqref="P7"/>
    </sheetView>
  </sheetViews>
  <sheetFormatPr defaultRowHeight="15" x14ac:dyDescent="0.25"/>
  <cols>
    <col min="2" max="2" width="18.5703125" bestFit="1" customWidth="1"/>
    <col min="3" max="3" width="12.5703125" bestFit="1" customWidth="1"/>
    <col min="4" max="10" width="13.7109375" bestFit="1" customWidth="1"/>
    <col min="13" max="13" width="11.5703125" bestFit="1" customWidth="1"/>
    <col min="15" max="15" width="13.28515625" bestFit="1" customWidth="1"/>
  </cols>
  <sheetData>
    <row r="2" spans="2:16" x14ac:dyDescent="0.25">
      <c r="C2" s="15" t="s">
        <v>50</v>
      </c>
      <c r="D2" s="15" t="s">
        <v>51</v>
      </c>
      <c r="E2" s="15" t="s">
        <v>51</v>
      </c>
      <c r="F2" s="15" t="s">
        <v>51</v>
      </c>
      <c r="G2" s="15" t="s">
        <v>51</v>
      </c>
      <c r="H2" s="15" t="s">
        <v>51</v>
      </c>
      <c r="I2" s="15" t="s">
        <v>51</v>
      </c>
      <c r="J2" s="15" t="s">
        <v>51</v>
      </c>
      <c r="O2" s="42" t="s">
        <v>57</v>
      </c>
      <c r="P2" s="42"/>
    </row>
    <row r="3" spans="2:16" x14ac:dyDescent="0.25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O3" t="s">
        <v>20</v>
      </c>
      <c r="P3" s="1">
        <v>0.03</v>
      </c>
    </row>
    <row r="4" spans="2:16" x14ac:dyDescent="0.25">
      <c r="B4" t="s">
        <v>1</v>
      </c>
      <c r="C4" s="38">
        <v>10000</v>
      </c>
      <c r="D4" s="29">
        <f>+C29</f>
        <v>-23463.02</v>
      </c>
      <c r="E4" s="29">
        <f t="shared" ref="E4:J4" si="0">+D29</f>
        <v>22674.23000000001</v>
      </c>
      <c r="F4" s="29">
        <f t="shared" si="0"/>
        <v>-16298.900000000023</v>
      </c>
      <c r="G4" s="29">
        <f t="shared" si="0"/>
        <v>-126451.26000000001</v>
      </c>
      <c r="H4" s="29">
        <f t="shared" si="0"/>
        <v>158721.27999999997</v>
      </c>
      <c r="I4" s="29">
        <f t="shared" si="0"/>
        <v>117052.52999999991</v>
      </c>
      <c r="J4" s="29">
        <f t="shared" si="0"/>
        <v>385200.7799999998</v>
      </c>
      <c r="O4" s="43" t="s">
        <v>21</v>
      </c>
      <c r="P4" s="43"/>
    </row>
    <row r="5" spans="2:16" x14ac:dyDescent="0.25">
      <c r="C5" s="30"/>
      <c r="O5" t="s">
        <v>22</v>
      </c>
      <c r="P5" s="1">
        <v>0.45</v>
      </c>
    </row>
    <row r="6" spans="2:16" x14ac:dyDescent="0.25">
      <c r="B6" t="s">
        <v>0</v>
      </c>
      <c r="C6" s="30"/>
      <c r="O6" t="s">
        <v>23</v>
      </c>
      <c r="P6" s="1">
        <v>0.45</v>
      </c>
    </row>
    <row r="7" spans="2:16" x14ac:dyDescent="0.25">
      <c r="B7" t="s">
        <v>10</v>
      </c>
      <c r="C7" s="31">
        <f>+Foreccast!C6</f>
        <v>12534</v>
      </c>
      <c r="D7" s="2">
        <f>+Foreccast!D6</f>
        <v>64235</v>
      </c>
      <c r="E7" s="2">
        <f>+Foreccast!E6</f>
        <v>35446</v>
      </c>
      <c r="F7" s="2">
        <f>+Foreccast!F6</f>
        <v>36522</v>
      </c>
      <c r="G7" s="2">
        <f>+Foreccast!G6</f>
        <v>64532</v>
      </c>
      <c r="H7" s="2">
        <f>+Foreccast!H6</f>
        <v>46225</v>
      </c>
      <c r="I7" s="2">
        <f>+Foreccast!I6</f>
        <v>452035</v>
      </c>
      <c r="J7" s="2">
        <f>+Foreccast!J6</f>
        <v>465235</v>
      </c>
      <c r="L7" t="s">
        <v>56</v>
      </c>
      <c r="O7" t="s">
        <v>24</v>
      </c>
      <c r="P7" s="1">
        <v>0.1</v>
      </c>
    </row>
    <row r="8" spans="2:16" x14ac:dyDescent="0.25">
      <c r="B8" t="s">
        <v>13</v>
      </c>
      <c r="C8" s="31"/>
      <c r="D8" s="2">
        <f>+Foreccast!C7*_30_Days</f>
        <v>146930.4</v>
      </c>
      <c r="E8" s="2">
        <f>+Foreccast!D7*_30_Days</f>
        <v>146305.35</v>
      </c>
      <c r="F8" s="2">
        <f>+Foreccast!E7*_30_Days</f>
        <v>144056.25</v>
      </c>
      <c r="G8" s="4">
        <f>+Foreccast!F7*_30_Days</f>
        <v>194467.95</v>
      </c>
      <c r="H8" s="2">
        <f>+Foreccast!G7*_30_Days</f>
        <v>113962.95</v>
      </c>
      <c r="I8" s="2">
        <f>+Foreccast!H7*_30_Days</f>
        <v>135956.25</v>
      </c>
      <c r="J8" s="2">
        <f>+Foreccast!I7*_30_Days</f>
        <v>203066.1</v>
      </c>
      <c r="L8" t="s">
        <v>58</v>
      </c>
    </row>
    <row r="9" spans="2:16" x14ac:dyDescent="0.25">
      <c r="B9" t="s">
        <v>11</v>
      </c>
      <c r="C9" s="31"/>
      <c r="D9" s="2"/>
      <c r="E9" s="2">
        <f>+Foreccast!C7*_60_Days</f>
        <v>146930.4</v>
      </c>
      <c r="F9" s="2">
        <f>+Foreccast!D7*_60_Days</f>
        <v>146305.35</v>
      </c>
      <c r="G9" s="2">
        <f>+Foreccast!E7*_60_Days</f>
        <v>144056.25</v>
      </c>
      <c r="H9" s="4">
        <f>+Foreccast!F7*_60_Days</f>
        <v>194467.95</v>
      </c>
      <c r="I9" s="2">
        <f>+Foreccast!G7*_60_Days</f>
        <v>113962.95</v>
      </c>
      <c r="J9" s="2">
        <f>+Foreccast!H7*_60_Days</f>
        <v>135956.25</v>
      </c>
    </row>
    <row r="10" spans="2:16" x14ac:dyDescent="0.25">
      <c r="B10" t="s">
        <v>12</v>
      </c>
      <c r="C10" s="31"/>
      <c r="D10" s="2"/>
      <c r="E10" s="2"/>
      <c r="F10" s="2">
        <f>+Foreccast!C7*_90_Days</f>
        <v>32651.200000000001</v>
      </c>
      <c r="G10" s="2">
        <f>+Foreccast!D7*_90_Days</f>
        <v>32512.300000000003</v>
      </c>
      <c r="H10" s="2">
        <f>+Foreccast!E7*_90_Days</f>
        <v>32012.5</v>
      </c>
      <c r="I10" s="4">
        <f>+Foreccast!F7*_90_Days</f>
        <v>43215.100000000006</v>
      </c>
      <c r="J10" s="2">
        <f>+Foreccast!G7*_90_Days</f>
        <v>25325.100000000002</v>
      </c>
      <c r="L10" t="s">
        <v>25</v>
      </c>
      <c r="M10" t="s">
        <v>26</v>
      </c>
    </row>
    <row r="11" spans="2:16" x14ac:dyDescent="0.25">
      <c r="B11" t="s">
        <v>14</v>
      </c>
      <c r="C11" s="32">
        <f t="shared" ref="C11:J11" si="1">-C7*Discount_Rate</f>
        <v>-376.02</v>
      </c>
      <c r="D11" s="3">
        <f t="shared" si="1"/>
        <v>-1927.05</v>
      </c>
      <c r="E11" s="3">
        <f t="shared" si="1"/>
        <v>-1063.3799999999999</v>
      </c>
      <c r="F11" s="3">
        <f t="shared" si="1"/>
        <v>-1095.6599999999999</v>
      </c>
      <c r="G11" s="3">
        <f t="shared" si="1"/>
        <v>-1935.96</v>
      </c>
      <c r="H11" s="3">
        <f t="shared" si="1"/>
        <v>-1386.75</v>
      </c>
      <c r="I11" s="3">
        <f t="shared" si="1"/>
        <v>-13561.05</v>
      </c>
      <c r="J11" s="3">
        <f t="shared" si="1"/>
        <v>-13957.05</v>
      </c>
      <c r="L11" s="6">
        <f>+G8+H9+I10</f>
        <v>432151</v>
      </c>
      <c r="M11" s="5">
        <f>+Foreccast!F7</f>
        <v>432151</v>
      </c>
    </row>
    <row r="12" spans="2:16" x14ac:dyDescent="0.25">
      <c r="B12" t="s">
        <v>19</v>
      </c>
      <c r="C12" s="31">
        <f>SUM(C7:C11)</f>
        <v>12157.98</v>
      </c>
      <c r="D12" s="2">
        <f t="shared" ref="D12:J12" si="2">SUM(D7:D11)</f>
        <v>209238.35</v>
      </c>
      <c r="E12" s="2">
        <f t="shared" si="2"/>
        <v>327618.37</v>
      </c>
      <c r="F12" s="2">
        <f t="shared" si="2"/>
        <v>358439.14</v>
      </c>
      <c r="G12" s="2">
        <f t="shared" si="2"/>
        <v>433632.54</v>
      </c>
      <c r="H12" s="2">
        <f t="shared" si="2"/>
        <v>385281.65</v>
      </c>
      <c r="I12" s="2">
        <f t="shared" si="2"/>
        <v>731608.24999999988</v>
      </c>
      <c r="J12" s="2">
        <f t="shared" si="2"/>
        <v>815625.39999999991</v>
      </c>
    </row>
    <row r="13" spans="2:16" x14ac:dyDescent="0.25">
      <c r="C13" s="30"/>
    </row>
    <row r="14" spans="2:16" x14ac:dyDescent="0.25">
      <c r="B14" t="s">
        <v>27</v>
      </c>
      <c r="C14" s="33">
        <f>+C12+C4</f>
        <v>22157.98</v>
      </c>
      <c r="D14" s="5">
        <f t="shared" ref="D14:J14" si="3">+D12+D4</f>
        <v>185775.33000000002</v>
      </c>
      <c r="E14" s="5">
        <f t="shared" si="3"/>
        <v>350292.6</v>
      </c>
      <c r="F14" s="5">
        <f t="shared" si="3"/>
        <v>342140.24</v>
      </c>
      <c r="G14" s="5">
        <f t="shared" si="3"/>
        <v>307181.27999999997</v>
      </c>
      <c r="H14" s="5">
        <f t="shared" si="3"/>
        <v>544002.92999999993</v>
      </c>
      <c r="I14" s="5">
        <f t="shared" si="3"/>
        <v>848660.7799999998</v>
      </c>
      <c r="J14" s="5">
        <f t="shared" si="3"/>
        <v>1200826.1799999997</v>
      </c>
    </row>
    <row r="16" spans="2:16" x14ac:dyDescent="0.25">
      <c r="B16" t="s">
        <v>28</v>
      </c>
    </row>
    <row r="17" spans="2:12" x14ac:dyDescent="0.25">
      <c r="L17" t="s">
        <v>46</v>
      </c>
    </row>
    <row r="18" spans="2:12" x14ac:dyDescent="0.25">
      <c r="B18" t="s">
        <v>32</v>
      </c>
      <c r="C18" s="2"/>
      <c r="D18" s="2">
        <f>+Foreccast!C16</f>
        <v>12354</v>
      </c>
      <c r="E18" s="2">
        <f>+Foreccast!D16</f>
        <v>12354</v>
      </c>
      <c r="F18" s="2">
        <f>+Foreccast!E16</f>
        <v>12354</v>
      </c>
      <c r="G18" s="2">
        <f>+Foreccast!F16</f>
        <v>12354</v>
      </c>
      <c r="H18" s="2">
        <f>+Foreccast!G16</f>
        <v>12354</v>
      </c>
      <c r="I18" s="2">
        <f>+Foreccast!H16</f>
        <v>12354</v>
      </c>
      <c r="J18" s="2">
        <f>+Foreccast!I16</f>
        <v>12354</v>
      </c>
      <c r="L18" t="s">
        <v>47</v>
      </c>
    </row>
    <row r="19" spans="2:12" x14ac:dyDescent="0.25">
      <c r="B19" s="7" t="s">
        <v>33</v>
      </c>
      <c r="C19" s="8"/>
      <c r="D19" s="8"/>
      <c r="E19" s="8"/>
      <c r="F19" s="8"/>
      <c r="G19" s="8"/>
      <c r="H19" s="8"/>
      <c r="I19" s="8"/>
      <c r="J19" s="8"/>
      <c r="L19" t="s">
        <v>48</v>
      </c>
    </row>
    <row r="20" spans="2:12" x14ac:dyDescent="0.25">
      <c r="B20" s="39" t="s">
        <v>34</v>
      </c>
      <c r="C20" s="40">
        <f>+Foreccast!C18</f>
        <v>45621</v>
      </c>
      <c r="D20" s="41">
        <f>+Foreccast!D18</f>
        <v>72183.100000000006</v>
      </c>
      <c r="E20" s="41">
        <f>+Foreccast!E18</f>
        <v>72183.100000000006</v>
      </c>
      <c r="F20" s="41">
        <f>+Foreccast!F18</f>
        <v>72183.100000000006</v>
      </c>
      <c r="G20" s="41">
        <f>+Foreccast!G18</f>
        <v>82542</v>
      </c>
      <c r="H20" s="41">
        <f>+Foreccast!H18</f>
        <v>82542</v>
      </c>
      <c r="I20" s="41">
        <f>+Foreccast!I18</f>
        <v>82542</v>
      </c>
      <c r="J20" s="41">
        <f>+Foreccast!J18</f>
        <v>82542</v>
      </c>
      <c r="L20" t="s">
        <v>59</v>
      </c>
    </row>
    <row r="21" spans="2:12" x14ac:dyDescent="0.25">
      <c r="B21" t="s">
        <v>35</v>
      </c>
      <c r="C21" s="2"/>
      <c r="D21" s="2">
        <f>+Foreccast!C19</f>
        <v>17452</v>
      </c>
      <c r="E21" s="2">
        <f>+Foreccast!D19</f>
        <v>20942.399999999998</v>
      </c>
      <c r="F21" s="2">
        <f>+Foreccast!E19</f>
        <v>20942.399999999998</v>
      </c>
      <c r="G21" s="2">
        <f>+Foreccast!F19</f>
        <v>17452</v>
      </c>
      <c r="H21" s="2">
        <f>+Foreccast!G19</f>
        <v>20942.399999999998</v>
      </c>
      <c r="I21" s="2">
        <f>+Foreccast!H19</f>
        <v>17452</v>
      </c>
      <c r="J21" s="2">
        <f>+Foreccast!I19</f>
        <v>20942.399999999998</v>
      </c>
      <c r="L21" t="s">
        <v>47</v>
      </c>
    </row>
    <row r="22" spans="2:12" x14ac:dyDescent="0.25">
      <c r="B22" s="7" t="s">
        <v>40</v>
      </c>
      <c r="C22" s="8"/>
      <c r="D22" s="8"/>
      <c r="E22" s="8"/>
      <c r="F22" s="8">
        <v>12000</v>
      </c>
      <c r="G22" s="8"/>
      <c r="H22" s="8"/>
      <c r="I22" s="8"/>
      <c r="J22" s="8"/>
      <c r="L22" t="s">
        <v>49</v>
      </c>
    </row>
    <row r="23" spans="2:12" x14ac:dyDescent="0.25">
      <c r="B23" s="7" t="s">
        <v>41</v>
      </c>
      <c r="C23" s="8"/>
      <c r="D23" s="8"/>
      <c r="E23" s="8"/>
      <c r="F23" s="8"/>
      <c r="G23" s="8"/>
      <c r="H23" s="8"/>
      <c r="I23" s="8"/>
      <c r="J23" s="8"/>
      <c r="L23" t="s">
        <v>49</v>
      </c>
    </row>
    <row r="24" spans="2:12" x14ac:dyDescent="0.25">
      <c r="B24" t="s">
        <v>36</v>
      </c>
      <c r="C24" s="2"/>
      <c r="D24" s="2">
        <f>+Foreccast!C22</f>
        <v>32545</v>
      </c>
      <c r="E24" s="2">
        <f>+Foreccast!D22</f>
        <v>32545</v>
      </c>
      <c r="F24" s="2">
        <f>+Foreccast!E22</f>
        <v>32545</v>
      </c>
      <c r="G24" s="2">
        <f>+Foreccast!F22</f>
        <v>32545</v>
      </c>
      <c r="H24" s="2">
        <f>+Foreccast!G22</f>
        <v>32545</v>
      </c>
      <c r="I24" s="2">
        <f>+Foreccast!H22</f>
        <v>32545</v>
      </c>
      <c r="J24" s="2">
        <f>+Foreccast!I22</f>
        <v>32545</v>
      </c>
      <c r="L24" t="s">
        <v>47</v>
      </c>
    </row>
    <row r="25" spans="2:12" x14ac:dyDescent="0.25">
      <c r="B25" t="s">
        <v>39</v>
      </c>
      <c r="C25" s="2"/>
      <c r="D25" s="2">
        <f>+Foreccast!C23</f>
        <v>3567</v>
      </c>
      <c r="E25" s="2">
        <f>+Foreccast!D23</f>
        <v>3567</v>
      </c>
      <c r="F25" s="2">
        <f>+Foreccast!E23</f>
        <v>3567</v>
      </c>
      <c r="G25" s="2">
        <f>+Foreccast!F23</f>
        <v>3567</v>
      </c>
      <c r="H25" s="2">
        <f>+Foreccast!G23</f>
        <v>3567</v>
      </c>
      <c r="I25" s="2">
        <f>+Foreccast!H23</f>
        <v>3567</v>
      </c>
      <c r="J25" s="2">
        <f>+Foreccast!I23</f>
        <v>3567</v>
      </c>
      <c r="L25" t="s">
        <v>47</v>
      </c>
    </row>
    <row r="26" spans="2:12" x14ac:dyDescent="0.25">
      <c r="B26" t="s">
        <v>42</v>
      </c>
      <c r="C26" s="3"/>
      <c r="D26" s="3">
        <v>25000</v>
      </c>
      <c r="E26" s="3">
        <v>225000</v>
      </c>
      <c r="F26" s="3">
        <v>315000</v>
      </c>
      <c r="G26" s="3"/>
      <c r="H26" s="3">
        <v>275000</v>
      </c>
      <c r="I26" s="3">
        <v>315000</v>
      </c>
      <c r="J26" s="3">
        <v>375000</v>
      </c>
      <c r="L26" t="s">
        <v>47</v>
      </c>
    </row>
    <row r="27" spans="2:12" x14ac:dyDescent="0.25">
      <c r="B27" t="s">
        <v>43</v>
      </c>
      <c r="C27" s="2">
        <f t="shared" ref="C27:J27" si="4">SUM(C18:C26)</f>
        <v>45621</v>
      </c>
      <c r="D27" s="2">
        <f t="shared" si="4"/>
        <v>163101.1</v>
      </c>
      <c r="E27" s="2">
        <f t="shared" si="4"/>
        <v>366591.5</v>
      </c>
      <c r="F27" s="2">
        <f t="shared" si="4"/>
        <v>468591.5</v>
      </c>
      <c r="G27" s="2">
        <f t="shared" si="4"/>
        <v>148460</v>
      </c>
      <c r="H27" s="2">
        <f t="shared" si="4"/>
        <v>426950.40000000002</v>
      </c>
      <c r="I27" s="2">
        <f t="shared" si="4"/>
        <v>463460</v>
      </c>
      <c r="J27" s="2">
        <f t="shared" si="4"/>
        <v>526950.40000000002</v>
      </c>
    </row>
    <row r="28" spans="2:12" x14ac:dyDescent="0.25">
      <c r="C28" s="2"/>
      <c r="D28" s="2"/>
      <c r="E28" s="2"/>
      <c r="F28" s="2"/>
      <c r="G28" s="2"/>
      <c r="H28" s="2"/>
      <c r="I28" s="2"/>
      <c r="J28" s="2"/>
    </row>
    <row r="29" spans="2:12" x14ac:dyDescent="0.25">
      <c r="B29" t="s">
        <v>44</v>
      </c>
      <c r="C29" s="29">
        <f t="shared" ref="C29:J29" si="5">+C14-C27</f>
        <v>-23463.02</v>
      </c>
      <c r="D29" s="29">
        <f t="shared" si="5"/>
        <v>22674.23000000001</v>
      </c>
      <c r="E29" s="29">
        <f t="shared" si="5"/>
        <v>-16298.900000000023</v>
      </c>
      <c r="F29" s="29">
        <f t="shared" si="5"/>
        <v>-126451.26000000001</v>
      </c>
      <c r="G29" s="29">
        <f t="shared" si="5"/>
        <v>158721.27999999997</v>
      </c>
      <c r="H29" s="29">
        <f t="shared" si="5"/>
        <v>117052.52999999991</v>
      </c>
      <c r="I29" s="29">
        <f t="shared" si="5"/>
        <v>385200.7799999998</v>
      </c>
      <c r="J29" s="29">
        <f t="shared" si="5"/>
        <v>673875.77999999968</v>
      </c>
    </row>
    <row r="30" spans="2:12" x14ac:dyDescent="0.25">
      <c r="L30" s="16" t="s">
        <v>52</v>
      </c>
    </row>
    <row r="31" spans="2:12" x14ac:dyDescent="0.25">
      <c r="H31" s="27" t="s">
        <v>53</v>
      </c>
      <c r="J31" s="28">
        <f>SUM(Foreccast!C26:J26)</f>
        <v>1360065.58</v>
      </c>
    </row>
  </sheetData>
  <mergeCells count="2">
    <mergeCell ref="O2:P2"/>
    <mergeCell ref="O4:P4"/>
  </mergeCells>
  <phoneticPr fontId="3" type="noConversion"/>
  <pageMargins left="0.7" right="0.7" top="0.75" bottom="0.75" header="0.3" footer="0.3"/>
  <cellWatches>
    <cellWatch r="J29"/>
  </cellWatche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B579-E01D-44F9-A5E0-28182A46D35A}">
  <dimension ref="B3:S27"/>
  <sheetViews>
    <sheetView workbookViewId="0">
      <selection activeCell="S6" sqref="S6"/>
    </sheetView>
  </sheetViews>
  <sheetFormatPr defaultRowHeight="15" x14ac:dyDescent="0.25"/>
  <cols>
    <col min="2" max="2" width="17.7109375" bestFit="1" customWidth="1"/>
    <col min="3" max="4" width="11.5703125" bestFit="1" customWidth="1"/>
    <col min="5" max="5" width="13.28515625" bestFit="1" customWidth="1"/>
    <col min="6" max="7" width="11.5703125" bestFit="1" customWidth="1"/>
    <col min="8" max="8" width="13.28515625" bestFit="1" customWidth="1"/>
    <col min="9" max="9" width="11.5703125" bestFit="1" customWidth="1"/>
    <col min="10" max="11" width="13.28515625" bestFit="1" customWidth="1"/>
  </cols>
  <sheetData>
    <row r="3" spans="2:19" x14ac:dyDescent="0.25">
      <c r="C3" s="15" t="s">
        <v>50</v>
      </c>
      <c r="D3" s="15" t="s">
        <v>51</v>
      </c>
      <c r="E3" s="15" t="s">
        <v>51</v>
      </c>
      <c r="F3" s="15" t="s">
        <v>51</v>
      </c>
      <c r="G3" s="15" t="s">
        <v>51</v>
      </c>
      <c r="H3" s="15" t="s">
        <v>51</v>
      </c>
      <c r="I3" s="15" t="s">
        <v>51</v>
      </c>
      <c r="J3" s="15" t="s">
        <v>51</v>
      </c>
      <c r="L3" s="15" t="s">
        <v>54</v>
      </c>
      <c r="O3" t="s">
        <v>60</v>
      </c>
    </row>
    <row r="4" spans="2:19" x14ac:dyDescent="0.25">
      <c r="C4" s="14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45</v>
      </c>
      <c r="O4" t="s">
        <v>61</v>
      </c>
      <c r="S4" s="1">
        <v>1</v>
      </c>
    </row>
    <row r="5" spans="2:19" x14ac:dyDescent="0.25">
      <c r="B5" s="16" t="s">
        <v>15</v>
      </c>
      <c r="C5" s="30"/>
      <c r="K5" s="11"/>
      <c r="O5" t="s">
        <v>62</v>
      </c>
      <c r="S5" s="1">
        <v>1</v>
      </c>
    </row>
    <row r="6" spans="2:19" x14ac:dyDescent="0.25">
      <c r="B6" t="s">
        <v>16</v>
      </c>
      <c r="C6" s="31">
        <v>12534</v>
      </c>
      <c r="D6" s="2">
        <f>64235*_Sale_Increase_Pct</f>
        <v>64235</v>
      </c>
      <c r="E6" s="2">
        <f>35446*_Sale_Increase_Pct</f>
        <v>35446</v>
      </c>
      <c r="F6" s="2">
        <f>36522*_Sale_Increase_Pct</f>
        <v>36522</v>
      </c>
      <c r="G6" s="2">
        <f>64532*_Sale_Increase_Pct</f>
        <v>64532</v>
      </c>
      <c r="H6" s="2">
        <f>46225*_Sale_Increase_Pct</f>
        <v>46225</v>
      </c>
      <c r="I6" s="2">
        <f>452035*_Sale_Increase_Pct</f>
        <v>452035</v>
      </c>
      <c r="J6" s="2">
        <f>465235*_Sale_Increase_Pct</f>
        <v>465235</v>
      </c>
      <c r="K6" s="12">
        <f>SUM(C6:J6)</f>
        <v>1176764</v>
      </c>
    </row>
    <row r="7" spans="2:19" x14ac:dyDescent="0.25">
      <c r="B7" t="s">
        <v>17</v>
      </c>
      <c r="C7" s="32">
        <v>326512</v>
      </c>
      <c r="D7" s="3">
        <f>325123*_Credit_Increase_Pct</f>
        <v>325123</v>
      </c>
      <c r="E7" s="3">
        <f>320125*_Credit_Increase_Pct</f>
        <v>320125</v>
      </c>
      <c r="F7" s="3">
        <f>432151*_Credit_Increase_Pct</f>
        <v>432151</v>
      </c>
      <c r="G7" s="3">
        <f>253251*_Credit_Increase_Pct</f>
        <v>253251</v>
      </c>
      <c r="H7" s="3">
        <f>302125*_Credit_Increase_Pct</f>
        <v>302125</v>
      </c>
      <c r="I7" s="3">
        <f>451258*_Credit_Increase_Pct</f>
        <v>451258</v>
      </c>
      <c r="J7" s="3">
        <f>652125*_Credit_Increase_Pct</f>
        <v>652125</v>
      </c>
      <c r="K7" s="13">
        <f>SUM(C7:J7)</f>
        <v>3062670</v>
      </c>
    </row>
    <row r="8" spans="2:19" x14ac:dyDescent="0.25">
      <c r="B8" t="s">
        <v>18</v>
      </c>
      <c r="C8" s="31">
        <f>SUM(C6:C7)</f>
        <v>339046</v>
      </c>
      <c r="D8" s="21">
        <f t="shared" ref="D8:J8" si="0">SUM(D6:D7)</f>
        <v>389358</v>
      </c>
      <c r="E8" s="21">
        <f t="shared" si="0"/>
        <v>355571</v>
      </c>
      <c r="F8" s="21">
        <f t="shared" si="0"/>
        <v>468673</v>
      </c>
      <c r="G8" s="21">
        <f t="shared" si="0"/>
        <v>317783</v>
      </c>
      <c r="H8" s="21">
        <f t="shared" si="0"/>
        <v>348350</v>
      </c>
      <c r="I8" s="21">
        <f t="shared" si="0"/>
        <v>903293</v>
      </c>
      <c r="J8" s="21">
        <f t="shared" si="0"/>
        <v>1117360</v>
      </c>
      <c r="K8" s="12">
        <f>SUM(C8:J8)</f>
        <v>4239434</v>
      </c>
    </row>
    <row r="9" spans="2:19" x14ac:dyDescent="0.25">
      <c r="C9" s="33"/>
      <c r="D9" s="5"/>
      <c r="E9" s="5"/>
      <c r="F9" s="5"/>
      <c r="G9" s="5"/>
      <c r="H9" s="5"/>
      <c r="I9" s="5"/>
      <c r="J9" s="5"/>
      <c r="K9" s="22"/>
    </row>
    <row r="10" spans="2:19" x14ac:dyDescent="0.25">
      <c r="B10" t="s">
        <v>29</v>
      </c>
      <c r="C10" s="34">
        <f>+C8*0.4</f>
        <v>135618.4</v>
      </c>
      <c r="D10" s="23">
        <f t="shared" ref="D10:J10" si="1">+D8*0.4</f>
        <v>155743.20000000001</v>
      </c>
      <c r="E10" s="23">
        <f t="shared" si="1"/>
        <v>142228.4</v>
      </c>
      <c r="F10" s="23">
        <f t="shared" si="1"/>
        <v>187469.2</v>
      </c>
      <c r="G10" s="23">
        <f t="shared" si="1"/>
        <v>127113.20000000001</v>
      </c>
      <c r="H10" s="23">
        <f t="shared" si="1"/>
        <v>139340</v>
      </c>
      <c r="I10" s="23">
        <f t="shared" si="1"/>
        <v>361317.2</v>
      </c>
      <c r="J10" s="23">
        <f t="shared" si="1"/>
        <v>446944</v>
      </c>
      <c r="K10" s="24">
        <f>SUM(C10:J10)</f>
        <v>1695773.5999999999</v>
      </c>
    </row>
    <row r="11" spans="2:19" x14ac:dyDescent="0.25">
      <c r="C11" s="33"/>
      <c r="D11" s="5"/>
      <c r="E11" s="5"/>
      <c r="F11" s="5"/>
      <c r="G11" s="5"/>
      <c r="H11" s="5"/>
      <c r="I11" s="5"/>
      <c r="J11" s="5"/>
      <c r="K11" s="22"/>
    </row>
    <row r="12" spans="2:19" x14ac:dyDescent="0.25">
      <c r="B12" s="16" t="s">
        <v>30</v>
      </c>
      <c r="C12" s="35">
        <f>+C8-C10</f>
        <v>203427.6</v>
      </c>
      <c r="D12" s="25">
        <f t="shared" ref="D12:J12" si="2">+D8-D10</f>
        <v>233614.8</v>
      </c>
      <c r="E12" s="25">
        <f t="shared" si="2"/>
        <v>213342.6</v>
      </c>
      <c r="F12" s="25">
        <f t="shared" si="2"/>
        <v>281203.8</v>
      </c>
      <c r="G12" s="25">
        <f t="shared" si="2"/>
        <v>190669.8</v>
      </c>
      <c r="H12" s="25">
        <f t="shared" si="2"/>
        <v>209010</v>
      </c>
      <c r="I12" s="25">
        <f t="shared" si="2"/>
        <v>541975.80000000005</v>
      </c>
      <c r="J12" s="25">
        <f t="shared" si="2"/>
        <v>670416</v>
      </c>
      <c r="K12" s="26">
        <f>SUM(C12:J12)</f>
        <v>2543660.4000000004</v>
      </c>
    </row>
    <row r="13" spans="2:19" x14ac:dyDescent="0.25">
      <c r="C13" s="30"/>
      <c r="K13" s="11"/>
    </row>
    <row r="14" spans="2:19" x14ac:dyDescent="0.25">
      <c r="B14" s="16" t="s">
        <v>31</v>
      </c>
      <c r="C14" s="30"/>
      <c r="K14" s="11"/>
    </row>
    <row r="15" spans="2:19" x14ac:dyDescent="0.25">
      <c r="C15" s="30"/>
      <c r="K15" s="11"/>
    </row>
    <row r="16" spans="2:19" x14ac:dyDescent="0.25">
      <c r="B16" t="s">
        <v>32</v>
      </c>
      <c r="C16" s="31">
        <v>12354</v>
      </c>
      <c r="D16" s="2">
        <v>12354</v>
      </c>
      <c r="E16" s="2">
        <v>12354</v>
      </c>
      <c r="F16" s="2">
        <v>12354</v>
      </c>
      <c r="G16" s="2">
        <v>12354</v>
      </c>
      <c r="H16" s="2">
        <v>12354</v>
      </c>
      <c r="I16" s="2">
        <v>12354</v>
      </c>
      <c r="J16" s="2">
        <v>12354</v>
      </c>
      <c r="K16" s="12">
        <f t="shared" ref="K16:K24" si="3">SUM(C16:J16)</f>
        <v>98832</v>
      </c>
    </row>
    <row r="17" spans="2:12" x14ac:dyDescent="0.25">
      <c r="B17" t="s">
        <v>33</v>
      </c>
      <c r="C17" s="31">
        <f t="shared" ref="C17:J17" si="4">+C6*Discount_Rate</f>
        <v>376.02</v>
      </c>
      <c r="D17" s="2">
        <f t="shared" si="4"/>
        <v>1927.05</v>
      </c>
      <c r="E17" s="2">
        <f t="shared" si="4"/>
        <v>1063.3799999999999</v>
      </c>
      <c r="F17" s="2">
        <f t="shared" si="4"/>
        <v>1095.6599999999999</v>
      </c>
      <c r="G17" s="2">
        <f t="shared" si="4"/>
        <v>1935.96</v>
      </c>
      <c r="H17" s="2">
        <f t="shared" si="4"/>
        <v>1386.75</v>
      </c>
      <c r="I17" s="2">
        <f t="shared" si="4"/>
        <v>13561.05</v>
      </c>
      <c r="J17" s="2">
        <f t="shared" si="4"/>
        <v>13957.05</v>
      </c>
      <c r="K17" s="12">
        <f t="shared" si="3"/>
        <v>35302.92</v>
      </c>
      <c r="L17" t="s">
        <v>55</v>
      </c>
    </row>
    <row r="18" spans="2:12" x14ac:dyDescent="0.25">
      <c r="B18" t="s">
        <v>34</v>
      </c>
      <c r="C18" s="31">
        <v>45621</v>
      </c>
      <c r="D18" s="2">
        <f>65621*1.1</f>
        <v>72183.100000000006</v>
      </c>
      <c r="E18" s="2">
        <f>65621*1.1</f>
        <v>72183.100000000006</v>
      </c>
      <c r="F18" s="2">
        <f>65621*1.1</f>
        <v>72183.100000000006</v>
      </c>
      <c r="G18" s="2">
        <v>82542</v>
      </c>
      <c r="H18" s="2">
        <v>82542</v>
      </c>
      <c r="I18" s="2">
        <v>82542</v>
      </c>
      <c r="J18" s="2">
        <v>82542</v>
      </c>
      <c r="K18" s="12">
        <f t="shared" si="3"/>
        <v>592338.30000000005</v>
      </c>
    </row>
    <row r="19" spans="2:12" x14ac:dyDescent="0.25">
      <c r="B19" t="s">
        <v>35</v>
      </c>
      <c r="C19" s="31">
        <v>17452</v>
      </c>
      <c r="D19" s="2">
        <f>17452*1.2</f>
        <v>20942.399999999998</v>
      </c>
      <c r="E19" s="2">
        <f>17452*1.2</f>
        <v>20942.399999999998</v>
      </c>
      <c r="F19" s="2">
        <v>17452</v>
      </c>
      <c r="G19" s="2">
        <f>17452*1.2</f>
        <v>20942.399999999998</v>
      </c>
      <c r="H19" s="2">
        <v>17452</v>
      </c>
      <c r="I19" s="2">
        <f>17452*1.2</f>
        <v>20942.399999999998</v>
      </c>
      <c r="J19" s="2">
        <v>17452</v>
      </c>
      <c r="K19" s="12">
        <f t="shared" si="3"/>
        <v>153577.59999999998</v>
      </c>
    </row>
    <row r="20" spans="2:12" x14ac:dyDescent="0.25">
      <c r="B20" t="s">
        <v>40</v>
      </c>
      <c r="C20" s="31">
        <v>1256</v>
      </c>
      <c r="D20" s="2">
        <v>1256</v>
      </c>
      <c r="E20" s="2">
        <v>1256</v>
      </c>
      <c r="F20" s="2">
        <v>1256</v>
      </c>
      <c r="G20" s="2">
        <v>1256</v>
      </c>
      <c r="H20" s="2">
        <v>1256</v>
      </c>
      <c r="I20" s="2">
        <v>1256</v>
      </c>
      <c r="J20" s="2">
        <v>1256</v>
      </c>
      <c r="K20" s="12">
        <f t="shared" si="3"/>
        <v>10048</v>
      </c>
    </row>
    <row r="21" spans="2:12" x14ac:dyDescent="0.25">
      <c r="B21" t="s">
        <v>41</v>
      </c>
      <c r="C21" s="31">
        <v>575</v>
      </c>
      <c r="D21" s="2">
        <v>575</v>
      </c>
      <c r="E21" s="2">
        <v>575</v>
      </c>
      <c r="F21" s="2">
        <v>575</v>
      </c>
      <c r="G21" s="2">
        <v>575</v>
      </c>
      <c r="H21" s="2">
        <v>575</v>
      </c>
      <c r="I21" s="2">
        <v>575</v>
      </c>
      <c r="J21" s="2">
        <v>575</v>
      </c>
      <c r="K21" s="12">
        <f t="shared" si="3"/>
        <v>4600</v>
      </c>
    </row>
    <row r="22" spans="2:12" x14ac:dyDescent="0.25">
      <c r="B22" t="s">
        <v>36</v>
      </c>
      <c r="C22" s="31">
        <v>32545</v>
      </c>
      <c r="D22" s="2">
        <v>32545</v>
      </c>
      <c r="E22" s="2">
        <v>32545</v>
      </c>
      <c r="F22" s="2">
        <v>32545</v>
      </c>
      <c r="G22" s="2">
        <v>32545</v>
      </c>
      <c r="H22" s="2">
        <v>32545</v>
      </c>
      <c r="I22" s="2">
        <v>32545</v>
      </c>
      <c r="J22" s="2">
        <v>32545</v>
      </c>
      <c r="K22" s="12">
        <f t="shared" si="3"/>
        <v>260360</v>
      </c>
    </row>
    <row r="23" spans="2:12" x14ac:dyDescent="0.25">
      <c r="B23" t="s">
        <v>39</v>
      </c>
      <c r="C23" s="32">
        <v>3567</v>
      </c>
      <c r="D23" s="3">
        <v>3567</v>
      </c>
      <c r="E23" s="3">
        <v>3567</v>
      </c>
      <c r="F23" s="3">
        <v>3567</v>
      </c>
      <c r="G23" s="3">
        <v>3567</v>
      </c>
      <c r="H23" s="3">
        <v>3567</v>
      </c>
      <c r="I23" s="3">
        <v>3567</v>
      </c>
      <c r="J23" s="3">
        <v>3567</v>
      </c>
      <c r="K23" s="13">
        <f t="shared" si="3"/>
        <v>28536</v>
      </c>
    </row>
    <row r="24" spans="2:12" x14ac:dyDescent="0.25">
      <c r="B24" s="16" t="s">
        <v>37</v>
      </c>
      <c r="C24" s="36">
        <f>SUM(C16:C23)</f>
        <v>113746.02</v>
      </c>
      <c r="D24" s="17">
        <f t="shared" ref="D24:J24" si="5">SUM(D16:D23)</f>
        <v>145349.54999999999</v>
      </c>
      <c r="E24" s="17">
        <f t="shared" si="5"/>
        <v>144485.88</v>
      </c>
      <c r="F24" s="17">
        <f t="shared" si="5"/>
        <v>141027.76</v>
      </c>
      <c r="G24" s="17">
        <f t="shared" si="5"/>
        <v>155717.35999999999</v>
      </c>
      <c r="H24" s="17">
        <f t="shared" si="5"/>
        <v>151677.75</v>
      </c>
      <c r="I24" s="17">
        <f t="shared" si="5"/>
        <v>167342.45000000001</v>
      </c>
      <c r="J24" s="17">
        <f t="shared" si="5"/>
        <v>164248.04999999999</v>
      </c>
      <c r="K24" s="18">
        <f t="shared" si="3"/>
        <v>1183594.82</v>
      </c>
    </row>
    <row r="25" spans="2:12" x14ac:dyDescent="0.25">
      <c r="C25" s="31"/>
      <c r="D25" s="2"/>
      <c r="E25" s="2"/>
      <c r="F25" s="2"/>
      <c r="G25" s="2"/>
      <c r="H25" s="2"/>
      <c r="I25" s="2"/>
      <c r="J25" s="2"/>
      <c r="K25" s="12"/>
    </row>
    <row r="26" spans="2:12" ht="15.75" thickBot="1" x14ac:dyDescent="0.3">
      <c r="B26" s="16" t="s">
        <v>38</v>
      </c>
      <c r="C26" s="37">
        <f>+C12-C24</f>
        <v>89681.58</v>
      </c>
      <c r="D26" s="19">
        <f t="shared" ref="D26:J26" si="6">+D12-D24</f>
        <v>88265.25</v>
      </c>
      <c r="E26" s="19">
        <f t="shared" si="6"/>
        <v>68856.72</v>
      </c>
      <c r="F26" s="19">
        <f t="shared" si="6"/>
        <v>140176.03999999998</v>
      </c>
      <c r="G26" s="19">
        <f t="shared" si="6"/>
        <v>34952.44</v>
      </c>
      <c r="H26" s="19">
        <f t="shared" si="6"/>
        <v>57332.25</v>
      </c>
      <c r="I26" s="19">
        <f t="shared" si="6"/>
        <v>374633.35000000003</v>
      </c>
      <c r="J26" s="19">
        <f t="shared" si="6"/>
        <v>506167.95</v>
      </c>
      <c r="K26" s="20">
        <f>SUM(C26:J26)</f>
        <v>1360065.58</v>
      </c>
    </row>
    <row r="27" spans="2:12" ht="15.75" thickTop="1" x14ac:dyDescent="0.25"/>
  </sheetData>
  <pageMargins left="0.7" right="0.7" top="0.75" bottom="0.75" header="0.3" footer="0.3"/>
  <cellWatches>
    <cellWatch r="K26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Cash Flow</vt:lpstr>
      <vt:lpstr>Foreccast</vt:lpstr>
      <vt:lpstr>_30_Days</vt:lpstr>
      <vt:lpstr>_60_Days</vt:lpstr>
      <vt:lpstr>_90_Days</vt:lpstr>
      <vt:lpstr>_Credit_Increase_Pct</vt:lpstr>
      <vt:lpstr>_Sale_Increase_Pct</vt:lpstr>
      <vt:lpstr>Discount_Rate</vt:lpstr>
      <vt:lpstr>Net_Cash_Remaining</vt:lpstr>
      <vt:lpstr>Net_Income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Simplitic Cash Flow Statement</dc:title>
  <dc:creator>Wayne Spivak</dc:creator>
  <cp:lastModifiedBy>Wayne Spivak</cp:lastModifiedBy>
  <dcterms:created xsi:type="dcterms:W3CDTF">2022-12-12T12:52:52Z</dcterms:created>
  <dcterms:modified xsi:type="dcterms:W3CDTF">2022-12-14T20:04:08Z</dcterms:modified>
</cp:coreProperties>
</file>